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D:\Real_Desktop\Work\中介\网易实习\任务\Task7\"/>
    </mc:Choice>
  </mc:AlternateContent>
  <xr:revisionPtr revIDLastSave="0" documentId="13_ncr:1_{DCED6E63-520A-4C35-B536-CB647C48B0AA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最终简洁" sheetId="4" r:id="rId1"/>
    <sheet name="步骤一-活动商店汇率" sheetId="2" r:id="rId2"/>
    <sheet name="步骤二-各个活动直接掉率" sheetId="3" r:id="rId3"/>
    <sheet name="废案-结界卡标准换算" sheetId="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4" l="1"/>
  <c r="C14" i="4"/>
  <c r="F30" i="4"/>
  <c r="F29" i="4"/>
  <c r="F28" i="4"/>
  <c r="F27" i="4"/>
  <c r="F26" i="4"/>
  <c r="F25" i="4"/>
  <c r="H12" i="4" s="1" a="1"/>
  <c r="H12" i="4" s="1"/>
  <c r="F24" i="4"/>
  <c r="H3" i="4" s="1" a="1"/>
  <c r="H3" i="4" s="1"/>
  <c r="B30" i="4"/>
  <c r="B29" i="4"/>
  <c r="B28" i="4"/>
  <c r="B27" i="4"/>
  <c r="B26" i="4"/>
  <c r="B25" i="4"/>
  <c r="B24" i="4"/>
  <c r="G3" i="4" s="1" a="1"/>
  <c r="G3" i="4" s="1"/>
  <c r="J14" i="2"/>
  <c r="H17" i="2"/>
  <c r="G17" i="2"/>
  <c r="F17" i="2"/>
  <c r="E17" i="2"/>
  <c r="D17" i="2"/>
  <c r="C17" i="2"/>
  <c r="B17" i="2"/>
  <c r="I14" i="2"/>
  <c r="H14" i="2"/>
  <c r="F12" i="4"/>
  <c r="C12" i="4"/>
  <c r="B12" i="4"/>
  <c r="F11" i="4"/>
  <c r="E11" i="4"/>
  <c r="C11" i="4"/>
  <c r="H11" i="4" s="1" a="1"/>
  <c r="H11" i="4" s="1"/>
  <c r="C10" i="4"/>
  <c r="H10" i="4" s="1" a="1"/>
  <c r="H10" i="4" s="1"/>
  <c r="B9" i="4"/>
  <c r="E8" i="4"/>
  <c r="C8" i="4"/>
  <c r="B8" i="4"/>
  <c r="C7" i="4"/>
  <c r="B7" i="4"/>
  <c r="H7" i="4" s="1" a="1"/>
  <c r="H7" i="4" s="1"/>
  <c r="C6" i="4"/>
  <c r="B6" i="4"/>
  <c r="C5" i="4"/>
  <c r="B5" i="4"/>
  <c r="C4" i="4"/>
  <c r="B4" i="4"/>
  <c r="C3" i="4"/>
  <c r="B3" i="4"/>
  <c r="I23" i="3"/>
  <c r="E23" i="3"/>
  <c r="D23" i="3"/>
  <c r="G20" i="3"/>
  <c r="G17" i="3"/>
  <c r="D21" i="3"/>
  <c r="E21" i="3"/>
  <c r="H21" i="3"/>
  <c r="H20" i="3"/>
  <c r="E20" i="3"/>
  <c r="F22" i="3"/>
  <c r="E22" i="3"/>
  <c r="E15" i="3"/>
  <c r="E17" i="3"/>
  <c r="E16" i="3"/>
  <c r="D16" i="3"/>
  <c r="E14" i="3"/>
  <c r="E13" i="3"/>
  <c r="E12" i="3"/>
  <c r="E19" i="3"/>
  <c r="D17" i="3"/>
  <c r="D15" i="3"/>
  <c r="D18" i="3"/>
  <c r="D14" i="3"/>
  <c r="D13" i="3"/>
  <c r="D12" i="3"/>
  <c r="G14" i="2"/>
  <c r="E14" i="2"/>
  <c r="D14" i="2"/>
  <c r="C14" i="2"/>
  <c r="D8" i="2"/>
  <c r="D3" i="2"/>
  <c r="F14" i="2" s="1"/>
  <c r="D4" i="2"/>
  <c r="D5" i="2"/>
  <c r="D6" i="2"/>
  <c r="D7" i="2"/>
  <c r="D9" i="2"/>
  <c r="D10" i="2"/>
  <c r="D2" i="2"/>
  <c r="N6" i="1"/>
  <c r="N7" i="1"/>
  <c r="N5" i="1"/>
  <c r="H4" i="4" l="1" a="1"/>
  <c r="H4" i="4" s="1"/>
  <c r="H6" i="4" a="1"/>
  <c r="H6" i="4" s="1"/>
  <c r="H9" i="4" a="1"/>
  <c r="H9" i="4" s="1"/>
  <c r="H14" i="4" a="1"/>
  <c r="H14" i="4" s="1"/>
  <c r="H5" i="4" a="1"/>
  <c r="H5" i="4" s="1"/>
  <c r="G6" i="4" a="1"/>
  <c r="G6" i="4" s="1"/>
  <c r="H8" i="4" a="1"/>
  <c r="H8" i="4" s="1"/>
  <c r="G4" i="4" a="1"/>
  <c r="G4" i="4" s="1"/>
  <c r="G14" i="4" a="1"/>
  <c r="G14" i="4" s="1"/>
  <c r="G11" i="4" a="1"/>
  <c r="G11" i="4" s="1"/>
  <c r="G10" i="4" a="1"/>
  <c r="G10" i="4" s="1"/>
  <c r="G9" i="4" a="1"/>
  <c r="G9" i="4" s="1"/>
  <c r="G8" i="4" a="1"/>
  <c r="G8" i="4" s="1"/>
  <c r="G7" i="4" a="1"/>
  <c r="G7" i="4" s="1"/>
  <c r="G5" i="4" a="1"/>
  <c r="G5" i="4" s="1"/>
  <c r="G12" i="4" a="1"/>
  <c r="G1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<sst xmlns="http://schemas.openxmlformats.org/spreadsheetml/2006/main" count="194" uniqueCount="116">
  <si>
    <t>太鼓</t>
    <phoneticPr fontId="1" type="noConversion"/>
  </si>
  <si>
    <t>斗鱼</t>
    <phoneticPr fontId="1" type="noConversion"/>
  </si>
  <si>
    <t>结界卡</t>
    <phoneticPr fontId="1" type="noConversion"/>
  </si>
  <si>
    <t>https://www.bilibili.com/video/BV1R6421c7Cg/</t>
  </si>
  <si>
    <t>收益/h</t>
    <phoneticPr fontId="1" type="noConversion"/>
  </si>
  <si>
    <t>类别</t>
    <phoneticPr fontId="1" type="noConversion"/>
  </si>
  <si>
    <t>体力</t>
    <phoneticPr fontId="1" type="noConversion"/>
  </si>
  <si>
    <t>勾玉</t>
    <phoneticPr fontId="1" type="noConversion"/>
  </si>
  <si>
    <t>8-9</t>
    <phoneticPr fontId="1" type="noConversion"/>
  </si>
  <si>
    <t>14-18</t>
    <phoneticPr fontId="1" type="noConversion"/>
  </si>
  <si>
    <t>伞室内</t>
    <phoneticPr fontId="1" type="noConversion"/>
  </si>
  <si>
    <t>金币</t>
    <phoneticPr fontId="1" type="noConversion"/>
  </si>
  <si>
    <t>https://yys.163.com/news/update//20170513/23024_689142.html</t>
  </si>
  <si>
    <t>伞室内上调</t>
    <phoneticPr fontId="1" type="noConversion"/>
  </si>
  <si>
    <t>胧车卡</t>
    <phoneticPr fontId="1" type="noConversion"/>
  </si>
  <si>
    <t>金蛇鳞</t>
    <phoneticPr fontId="1" type="noConversion"/>
  </si>
  <si>
    <t>https://www.pttweb.cc/bbs/Onmyoji/M.1499351335.A.3AE</t>
  </si>
  <si>
    <t>伞室内具体</t>
    <phoneticPr fontId="1" type="noConversion"/>
  </si>
  <si>
    <t>上限/h</t>
    <phoneticPr fontId="1" type="noConversion"/>
  </si>
  <si>
    <t>注释</t>
    <phoneticPr fontId="1" type="noConversion"/>
  </si>
  <si>
    <t>换算</t>
    <phoneticPr fontId="1" type="noConversion"/>
  </si>
  <si>
    <t>四星青吉鬼</t>
    <phoneticPr fontId="1" type="noConversion"/>
  </si>
  <si>
    <t>紫蛇鳞</t>
    <phoneticPr fontId="1" type="noConversion"/>
  </si>
  <si>
    <t>六星青吉鬼</t>
    <phoneticPr fontId="1" type="noConversion"/>
  </si>
  <si>
    <t>五星青吉鬼</t>
    <phoneticPr fontId="1" type="noConversion"/>
  </si>
  <si>
    <t>数量</t>
    <phoneticPr fontId="1" type="noConversion"/>
  </si>
  <si>
    <t>价格</t>
    <phoneticPr fontId="1" type="noConversion"/>
  </si>
  <si>
    <t>单价</t>
    <phoneticPr fontId="1" type="noConversion"/>
  </si>
  <si>
    <t>注</t>
    <phoneticPr fontId="1" type="noConversion"/>
  </si>
  <si>
    <t>单个26250经验</t>
    <phoneticPr fontId="1" type="noConversion"/>
  </si>
  <si>
    <t>单个78750经验</t>
    <phoneticPr fontId="1" type="noConversion"/>
  </si>
  <si>
    <t>单个8750经验</t>
    <phoneticPr fontId="1" type="noConversion"/>
  </si>
  <si>
    <t>经验（四）</t>
    <phoneticPr fontId="1" type="noConversion"/>
  </si>
  <si>
    <t>经验（五）</t>
    <phoneticPr fontId="1" type="noConversion"/>
  </si>
  <si>
    <t>经验（六）</t>
    <phoneticPr fontId="1" type="noConversion"/>
  </si>
  <si>
    <t>体力</t>
  </si>
  <si>
    <t>金币</t>
  </si>
  <si>
    <t>六星御魂</t>
    <phoneticPr fontId="1" type="noConversion"/>
  </si>
  <si>
    <t>金蛇鳞</t>
  </si>
  <si>
    <t>紫蛇鳞</t>
  </si>
  <si>
    <t>魂十</t>
    <phoneticPr fontId="1" type="noConversion"/>
  </si>
  <si>
    <t>魂土</t>
    <phoneticPr fontId="1" type="noConversion"/>
  </si>
  <si>
    <t>魂王</t>
    <phoneticPr fontId="1" type="noConversion"/>
  </si>
  <si>
    <t>永生之海</t>
    <phoneticPr fontId="1" type="noConversion"/>
  </si>
  <si>
    <t>周常（加成）</t>
    <phoneticPr fontId="1" type="noConversion"/>
  </si>
  <si>
    <t>六道之门</t>
    <phoneticPr fontId="1" type="noConversion"/>
  </si>
  <si>
    <t>日轮之陨</t>
    <phoneticPr fontId="1" type="noConversion"/>
  </si>
  <si>
    <t>契灵商店</t>
    <phoneticPr fontId="1" type="noConversion"/>
  </si>
  <si>
    <t>真八岐大蛇</t>
    <phoneticPr fontId="1" type="noConversion"/>
  </si>
  <si>
    <t>术语解释</t>
    <phoneticPr fontId="1" type="noConversion"/>
  </si>
  <si>
    <t>4+1</t>
    <phoneticPr fontId="1" type="noConversion"/>
  </si>
  <si>
    <t>魂土悲鸣</t>
    <phoneticPr fontId="1" type="noConversion"/>
  </si>
  <si>
    <t>魂王神罚</t>
    <phoneticPr fontId="1" type="noConversion"/>
  </si>
  <si>
    <t>大多数</t>
    <phoneticPr fontId="1" type="noConversion"/>
  </si>
  <si>
    <r>
      <t>4+1</t>
    </r>
    <r>
      <rPr>
        <sz val="11"/>
        <color rgb="FF10273F"/>
        <rFont val="微软雅黑"/>
        <family val="2"/>
        <charset val="134"/>
      </rPr>
      <t>为寒暑假专属活动，每周获得</t>
    </r>
    <r>
      <rPr>
        <sz val="11"/>
        <color rgb="FF10273F"/>
        <rFont val="Verdana"/>
        <family val="2"/>
      </rPr>
      <t>100</t>
    </r>
    <r>
      <rPr>
        <sz val="11"/>
        <color rgb="FF10273F"/>
        <rFont val="微软雅黑"/>
        <family val="2"/>
        <charset val="134"/>
      </rPr>
      <t>次每掉落</t>
    </r>
    <r>
      <rPr>
        <sz val="11"/>
        <color rgb="FF10273F"/>
        <rFont val="Verdana"/>
        <family val="2"/>
      </rPr>
      <t>4/5</t>
    </r>
    <r>
      <rPr>
        <sz val="11"/>
        <color rgb="FF10273F"/>
        <rFont val="微软雅黑"/>
        <family val="2"/>
        <charset val="134"/>
      </rPr>
      <t>个六星御魂，额外获得</t>
    </r>
    <r>
      <rPr>
        <sz val="11"/>
        <color rgb="FF10273F"/>
        <rFont val="Verdana"/>
        <family val="2"/>
      </rPr>
      <t>1</t>
    </r>
    <r>
      <rPr>
        <sz val="11"/>
        <color rgb="FF10273F"/>
        <rFont val="微软雅黑"/>
        <family val="2"/>
        <charset val="134"/>
      </rPr>
      <t>个六星御魂的加成。</t>
    </r>
    <r>
      <rPr>
        <sz val="11"/>
        <color rgb="FF10273F"/>
        <rFont val="等线"/>
        <family val="2"/>
        <charset val="134"/>
      </rPr>
      <t>光环存在时，六星御魂掉率相当于提升</t>
    </r>
    <r>
      <rPr>
        <sz val="11"/>
        <color rgb="FF10273F"/>
        <rFont val="Verdana"/>
        <family val="2"/>
      </rPr>
      <t>1.2/1.25</t>
    </r>
    <r>
      <rPr>
        <sz val="11"/>
        <color rgb="FF10273F"/>
        <rFont val="等线"/>
        <family val="2"/>
        <charset val="134"/>
      </rPr>
      <t>倍</t>
    </r>
    <r>
      <rPr>
        <sz val="11"/>
        <color rgb="FF10273F"/>
        <rFont val="Verdana"/>
        <family val="2"/>
      </rPr>
      <t xml:space="preserve">
</t>
    </r>
    <r>
      <rPr>
        <sz val="11"/>
        <color rgb="FF10273F"/>
        <rFont val="等线"/>
        <family val="2"/>
        <charset val="134"/>
      </rPr>
      <t>对痴生效但对御灵不生效。不影响其他掉落</t>
    </r>
    <phoneticPr fontId="1" type="noConversion"/>
  </si>
  <si>
    <t>永生</t>
    <phoneticPr fontId="1" type="noConversion"/>
  </si>
  <si>
    <t>https://bbs.nga.cn/read.php?tid=38287707</t>
  </si>
  <si>
    <t>魂十土王</t>
    <phoneticPr fontId="1" type="noConversion"/>
  </si>
  <si>
    <t>https://ds.163.com/article/602b4646f7feba5baed6e3f9/</t>
  </si>
  <si>
    <t>永生体力24</t>
    <phoneticPr fontId="1" type="noConversion"/>
  </si>
  <si>
    <t>常规（4+1）</t>
    <phoneticPr fontId="1" type="noConversion"/>
  </si>
  <si>
    <t>纳奉5星，痴券</t>
    <phoneticPr fontId="1" type="noConversion"/>
  </si>
  <si>
    <t>永生加成</t>
    <phoneticPr fontId="1" type="noConversion"/>
  </si>
  <si>
    <t>https://www.bilibili.com/video/BV1j34y1r7v1/</t>
  </si>
  <si>
    <t>https://bbs.nga.cn/read.php?tid=40182231</t>
    <phoneticPr fontId="1" type="noConversion"/>
  </si>
  <si>
    <t>https://bbs.nga.cn/read.php?tid=41649949</t>
    <phoneticPr fontId="1" type="noConversion"/>
  </si>
  <si>
    <t>月活动</t>
    <phoneticPr fontId="1" type="noConversion"/>
  </si>
  <si>
    <t>算商店么？单算吧</t>
    <phoneticPr fontId="1" type="noConversion"/>
  </si>
  <si>
    <t>https://bbs.nga.cn/read.php?tid=39861143</t>
  </si>
  <si>
    <t>计入绘本与4+1</t>
    <phoneticPr fontId="1" type="noConversion"/>
  </si>
  <si>
    <t>奖励翻倍</t>
    <phoneticPr fontId="1" type="noConversion"/>
  </si>
  <si>
    <t>https://www.bilibili.com/video/BV1XWiMBvEGY</t>
  </si>
  <si>
    <t>无敌了，你都做完了我还干啥</t>
    <phoneticPr fontId="1" type="noConversion"/>
  </si>
  <si>
    <t>经验</t>
    <phoneticPr fontId="1" type="noConversion"/>
  </si>
  <si>
    <t>纳奉全部五星及以下御魂</t>
    <phoneticPr fontId="1" type="noConversion"/>
  </si>
  <si>
    <t>999首领</t>
    <phoneticPr fontId="1" type="noConversion"/>
  </si>
  <si>
    <t>300首领</t>
    <phoneticPr fontId="1" type="noConversion"/>
  </si>
  <si>
    <t>金鳞/逢魔</t>
    <phoneticPr fontId="1" type="noConversion"/>
  </si>
  <si>
    <t>紫鳞</t>
    <phoneticPr fontId="1" type="noConversion"/>
  </si>
  <si>
    <t>按商店汇率5金鳞=4逢魔之魂</t>
    <phoneticPr fontId="1" type="noConversion"/>
  </si>
  <si>
    <t>https://bbs.nga.cn/read.php?tid=45160005</t>
  </si>
  <si>
    <t>无加成</t>
    <phoneticPr fontId="1" type="noConversion"/>
  </si>
  <si>
    <t>活动积分</t>
    <phoneticPr fontId="1" type="noConversion"/>
  </si>
  <si>
    <t>https://www.bilibili.com/opus/1112828272710778896</t>
  </si>
  <si>
    <t>999首领战积分</t>
    <phoneticPr fontId="1" type="noConversion"/>
  </si>
  <si>
    <t>仅前20次有积分</t>
    <phoneticPr fontId="1" type="noConversion"/>
  </si>
  <si>
    <t>数据来源</t>
    <phoneticPr fontId="1" type="noConversion"/>
  </si>
  <si>
    <t>魂十土王按照4+1活动计算</t>
    <phoneticPr fontId="1" type="noConversion"/>
  </si>
  <si>
    <t>魂十土王计入痴券收益</t>
    <phoneticPr fontId="1" type="noConversion"/>
  </si>
  <si>
    <t>周常均为加成时掉率</t>
    <phoneticPr fontId="1" type="noConversion"/>
  </si>
  <si>
    <t>爬塔活动还有活动积分，但此表不计入</t>
    <phoneticPr fontId="1" type="noConversion"/>
  </si>
  <si>
    <t>规则</t>
    <phoneticPr fontId="1" type="noConversion"/>
  </si>
  <si>
    <t>勾玉</t>
  </si>
  <si>
    <t>六星御魂(护镖宝箱)</t>
    <phoneticPr fontId="1" type="noConversion"/>
  </si>
  <si>
    <t>经验汇率取四星青吉鬼</t>
    <phoneticPr fontId="1" type="noConversion"/>
  </si>
  <si>
    <t>换算体力</t>
    <phoneticPr fontId="1" type="noConversion"/>
  </si>
  <si>
    <t>换算勾玉</t>
    <phoneticPr fontId="1" type="noConversion"/>
  </si>
  <si>
    <t>1体力=</t>
    <phoneticPr fontId="1" type="noConversion"/>
  </si>
  <si>
    <t>1勾玉=</t>
    <phoneticPr fontId="1" type="noConversion"/>
  </si>
  <si>
    <t>换算成</t>
    <phoneticPr fontId="1" type="noConversion"/>
  </si>
  <si>
    <t>副本/体力</t>
    <phoneticPr fontId="1" type="noConversion"/>
  </si>
  <si>
    <t>https://www.bilibili.com/video/BV1XWiMBvEGY</t>
    <phoneticPr fontId="1" type="noConversion"/>
  </si>
  <si>
    <r>
      <t>首领战</t>
    </r>
    <r>
      <rPr>
        <b/>
        <sz val="11"/>
        <color theme="1"/>
        <rFont val="等线"/>
        <family val="3"/>
        <charset val="134"/>
        <scheme val="minor"/>
      </rPr>
      <t>计入</t>
    </r>
    <r>
      <rPr>
        <sz val="11"/>
        <color theme="1"/>
        <rFont val="等线"/>
        <family val="2"/>
        <scheme val="minor"/>
      </rPr>
      <t>前20次额外加成</t>
    </r>
    <phoneticPr fontId="1" type="noConversion"/>
  </si>
  <si>
    <t>其次为爬塔活动的首领战，每日前20次的额外奖励使投入1体力能获得35.5倍的收益。每月能投入12体*20次/天*4天=960体。</t>
    <phoneticPr fontId="1" type="noConversion"/>
  </si>
  <si>
    <t>999的数据有些问题，搁置</t>
    <phoneticPr fontId="1" type="noConversion"/>
  </si>
  <si>
    <t>紧随其后的使每月的300爬塔活动，有着12.2倍的收益，每月需要投入约18000体力。</t>
    <phoneticPr fontId="1" type="noConversion"/>
  </si>
  <si>
    <t>永生之海计入绘本与4+1，换算紫鳞/4</t>
    <phoneticPr fontId="1" type="noConversion"/>
  </si>
  <si>
    <t>常规魂十</t>
    <phoneticPr fontId="1" type="noConversion"/>
  </si>
  <si>
    <t>根据引用1中的说法，计算得出永生之海收益低是因为绘卷（由紫蛇鳞换算）再活动商店中过于便宜。</t>
    <phoneticPr fontId="1" type="noConversion"/>
  </si>
  <si>
    <t>4+1活动下的魂十以11.7倍的收益脱颖而出，但是4+1活动每周限量100次，每月需要2400体力</t>
    <phoneticPr fontId="1" type="noConversion"/>
  </si>
  <si>
    <t>真八岐大蛇的效率最高，投入1体力能获取约41.5倍的收益。但每月只能投入480体力。</t>
    <phoneticPr fontId="1" type="noConversion"/>
  </si>
  <si>
    <t>而在其余的能消耗大量体力的项目中，契灵之境有着15.3倍的收益，每月换完御魂需要约5200体力。</t>
    <phoneticPr fontId="1" type="noConversion"/>
  </si>
  <si>
    <t>常规情况下无次数限制的常规魂十的收益率（不计入绘卷）仅有8.2倍，但也是常规无次数限制中收益最高的本了。</t>
    <phoneticPr fontId="1" type="noConversion"/>
  </si>
  <si>
    <t>步骤四-总结</t>
    <phoneticPr fontId="1" type="noConversion"/>
  </si>
  <si>
    <t>步骤一-换算表</t>
    <phoneticPr fontId="1" type="noConversion"/>
  </si>
  <si>
    <t>步骤二&amp;三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</si>
</sst>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82" formatCode="0.000000"/>
    <numFmt numFmtId="184" formatCode="0.0000"/>
    <numFmt numFmtId="185" formatCode="0.000"/>
    <numFmt numFmtId="186" formatCode="0.0"/>
  </numFmts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rgb="FF10273F"/>
      <name val="微软雅黑"/>
      <family val="2"/>
      <charset val="134"/>
    </font>
    <font>
      <sz val="11"/>
      <color rgb="FF10273F"/>
      <name val="Verdana"/>
      <family val="2"/>
    </font>
    <font>
      <sz val="11"/>
      <color rgb="FF10273F"/>
      <name val="等线"/>
      <family val="2"/>
      <charset val="134"/>
    </font>
    <font>
      <u/>
      <sz val="11"/>
      <color theme="10"/>
      <name val="等线"/>
      <family val="2"/>
      <scheme val="minor"/>
    </font>
    <font>
      <b/>
      <sz val="11"/>
      <color theme="1"/>
      <name val="等线"/>
      <family val="3"/>
      <charset val="134"/>
      <scheme val="minor"/>
    </font>
    <font>
      <u/>
      <sz val="11"/>
      <color theme="1"/>
      <name val="等线"/>
      <family val="2"/>
      <scheme val="minor"/>
    </font>
    <font>
      <u/>
      <sz val="11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Font="1" applyAlignment="1"/>
    <xf numFmtId="182" fontId="0" fillId="0" borderId="0" xfId="0" applyNumberFormat="1"/>
    <xf numFmtId="184" fontId="0" fillId="0" borderId="0" xfId="0" applyNumberFormat="1"/>
    <xf numFmtId="186" fontId="0" fillId="0" borderId="0" xfId="0" applyNumberFormat="1"/>
    <xf numFmtId="0" fontId="0" fillId="2" borderId="0" xfId="0" applyFill="1"/>
    <xf numFmtId="184" fontId="0" fillId="2" borderId="0" xfId="0" applyNumberFormat="1" applyFill="1"/>
    <xf numFmtId="0" fontId="0" fillId="3" borderId="0" xfId="0" applyFill="1"/>
    <xf numFmtId="0" fontId="0" fillId="4" borderId="0" xfId="0" applyFill="1"/>
    <xf numFmtId="184" fontId="0" fillId="4" borderId="0" xfId="0" applyNumberFormat="1" applyFill="1"/>
    <xf numFmtId="0" fontId="0" fillId="5" borderId="0" xfId="0" applyFill="1"/>
    <xf numFmtId="186" fontId="0" fillId="5" borderId="0" xfId="0" applyNumberFormat="1" applyFill="1"/>
    <xf numFmtId="0" fontId="6" fillId="5" borderId="0" xfId="0" quotePrefix="1" applyFont="1" applyFill="1"/>
    <xf numFmtId="0" fontId="0" fillId="6" borderId="0" xfId="0" applyFill="1"/>
    <xf numFmtId="186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6" fillId="0" borderId="0" xfId="0" applyFont="1" applyAlignment="1">
      <alignment horizontal="center"/>
    </xf>
    <xf numFmtId="185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85" fontId="0" fillId="2" borderId="0" xfId="0" applyNumberFormat="1" applyFill="1" applyAlignment="1">
      <alignment horizontal="center"/>
    </xf>
    <xf numFmtId="185" fontId="0" fillId="4" borderId="0" xfId="0" applyNumberFormat="1" applyFill="1" applyAlignment="1">
      <alignment horizontal="center"/>
    </xf>
    <xf numFmtId="185" fontId="0" fillId="5" borderId="0" xfId="0" applyNumberFormat="1" applyFill="1" applyAlignment="1">
      <alignment horizontal="center"/>
    </xf>
    <xf numFmtId="0" fontId="5" fillId="5" borderId="0" xfId="1" applyFill="1"/>
    <xf numFmtId="0" fontId="7" fillId="0" borderId="0" xfId="0" applyFont="1" applyAlignment="1">
      <alignment horizontal="center"/>
    </xf>
    <xf numFmtId="0" fontId="7" fillId="5" borderId="0" xfId="0" applyFont="1" applyFill="1"/>
    <xf numFmtId="184" fontId="8" fillId="6" borderId="0" xfId="0" applyNumberFormat="1" applyFont="1" applyFill="1"/>
    <xf numFmtId="0" fontId="8" fillId="6" borderId="0" xfId="0" applyFont="1" applyFill="1"/>
    <xf numFmtId="0" fontId="8" fillId="0" borderId="0" xfId="0" applyFont="1"/>
    <xf numFmtId="185" fontId="9" fillId="5" borderId="0" xfId="0" applyNumberFormat="1" applyFont="1" applyFill="1" applyAlignment="1">
      <alignment horizontal="center"/>
    </xf>
    <xf numFmtId="0" fontId="6" fillId="5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9" fillId="5" borderId="0" xfId="0" quotePrefix="1" applyFont="1" applyFill="1" applyAlignment="1">
      <alignment horizont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bilibili.com/video/BV1XWiMBvEG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D94F6-614C-4ADD-817F-27E039166E8B}">
  <dimension ref="A1:L35"/>
  <sheetViews>
    <sheetView tabSelected="1" workbookViewId="0">
      <selection activeCell="J18" sqref="J18"/>
    </sheetView>
  </sheetViews>
  <sheetFormatPr defaultRowHeight="13.9" x14ac:dyDescent="0.4"/>
  <cols>
    <col min="1" max="1" width="10.796875" style="1" bestFit="1" customWidth="1"/>
    <col min="2" max="2" width="8.796875" style="1" bestFit="1" customWidth="1"/>
    <col min="3" max="3" width="8.06640625" style="1" bestFit="1" customWidth="1"/>
    <col min="4" max="4" width="5.06640625" style="1" bestFit="1" customWidth="1"/>
    <col min="5" max="5" width="9.53125" style="1" bestFit="1" customWidth="1"/>
    <col min="6" max="6" width="7.06640625" style="1" bestFit="1" customWidth="1"/>
    <col min="7" max="8" width="8.796875" bestFit="1" customWidth="1"/>
    <col min="9" max="9" width="7" customWidth="1"/>
    <col min="10" max="10" width="35.33203125" bestFit="1" customWidth="1"/>
    <col min="11" max="11" width="41.73046875" bestFit="1" customWidth="1"/>
  </cols>
  <sheetData>
    <row r="1" spans="1:12" x14ac:dyDescent="0.4">
      <c r="D1" s="19" t="s">
        <v>115</v>
      </c>
      <c r="J1" s="19" t="s">
        <v>91</v>
      </c>
      <c r="K1" s="19" t="s">
        <v>86</v>
      </c>
    </row>
    <row r="2" spans="1:12" x14ac:dyDescent="0.4">
      <c r="A2" s="1" t="s">
        <v>100</v>
      </c>
      <c r="B2" s="1" t="s">
        <v>37</v>
      </c>
      <c r="C2" s="1" t="s">
        <v>73</v>
      </c>
      <c r="D2" s="1" t="s">
        <v>11</v>
      </c>
      <c r="E2" s="1" t="s">
        <v>77</v>
      </c>
      <c r="F2" s="1" t="s">
        <v>78</v>
      </c>
      <c r="G2" s="1" t="s">
        <v>95</v>
      </c>
      <c r="H2" s="1" t="s">
        <v>96</v>
      </c>
      <c r="J2" t="s">
        <v>74</v>
      </c>
      <c r="K2" s="25" t="s">
        <v>101</v>
      </c>
      <c r="L2">
        <v>1</v>
      </c>
    </row>
    <row r="3" spans="1:12" x14ac:dyDescent="0.4">
      <c r="A3" s="1" t="s">
        <v>40</v>
      </c>
      <c r="B3" s="22">
        <f>1/23.4</f>
        <v>4.2735042735042736E-2</v>
      </c>
      <c r="C3" s="17">
        <f>8750*12.27%</f>
        <v>1073.625</v>
      </c>
      <c r="D3" s="18">
        <v>372</v>
      </c>
      <c r="E3" s="18">
        <v>0.11650000000000001</v>
      </c>
      <c r="F3" s="18">
        <v>0.25</v>
      </c>
      <c r="G3" s="7" cm="1">
        <f t="array" ref="G3">SUMPRODUCT(B3:F3, TRANSPOSE($B$24:$B$28))</f>
        <v>11.727618149824034</v>
      </c>
      <c r="H3" s="7" cm="1">
        <f t="array" ref="H3">SUMPRODUCT(B3:F3, TRANSPOSE($F$24:$F$28))</f>
        <v>5.6962716727716742</v>
      </c>
      <c r="J3" t="s">
        <v>79</v>
      </c>
      <c r="K3" s="8" t="s">
        <v>65</v>
      </c>
      <c r="L3">
        <v>2</v>
      </c>
    </row>
    <row r="4" spans="1:12" x14ac:dyDescent="0.4">
      <c r="A4" s="1" t="s">
        <v>41</v>
      </c>
      <c r="B4" s="22">
        <f>1/27.7</f>
        <v>3.6101083032490974E-2</v>
      </c>
      <c r="C4" s="17">
        <f>8750*6.6%</f>
        <v>577.5</v>
      </c>
      <c r="D4" s="18">
        <v>456</v>
      </c>
      <c r="E4" s="18">
        <v>0.1363</v>
      </c>
      <c r="F4" s="18">
        <v>0.26379999999999998</v>
      </c>
      <c r="G4" s="7" cm="1">
        <f t="array" ref="G4">SUMPRODUCT(B4:F4, TRANSPOSE($B$24:$B$28))</f>
        <v>10.147610851560842</v>
      </c>
      <c r="H4" s="7" cm="1">
        <f t="array" ref="H4">SUMPRODUCT(B4:F4, TRANSPOSE($F$24:$F$28))</f>
        <v>4.9288395564724086</v>
      </c>
      <c r="J4" t="s">
        <v>87</v>
      </c>
      <c r="K4" s="11" t="s">
        <v>68</v>
      </c>
      <c r="L4">
        <v>3</v>
      </c>
    </row>
    <row r="5" spans="1:12" x14ac:dyDescent="0.4">
      <c r="A5" s="1" t="s">
        <v>42</v>
      </c>
      <c r="B5" s="22">
        <f>1/35.8</f>
        <v>2.793296089385475E-2</v>
      </c>
      <c r="C5" s="17">
        <f>8750*5.5%</f>
        <v>481.25</v>
      </c>
      <c r="D5" s="18">
        <v>318</v>
      </c>
      <c r="E5" s="18">
        <v>0.1142</v>
      </c>
      <c r="F5" s="18">
        <v>0.222</v>
      </c>
      <c r="G5" s="7" cm="1">
        <f t="array" ref="G5">SUMPRODUCT(B5:F5, TRANSPOSE($B$24:$B$28))</f>
        <v>7.9327942819585946</v>
      </c>
      <c r="H5" s="7" cm="1">
        <f t="array" ref="H5">SUMPRODUCT(B5:F5, TRANSPOSE($F$24:$F$28))</f>
        <v>3.8530715083798888</v>
      </c>
      <c r="J5" t="s">
        <v>88</v>
      </c>
      <c r="K5" s="16" t="s">
        <v>80</v>
      </c>
      <c r="L5">
        <v>4</v>
      </c>
    </row>
    <row r="6" spans="1:12" x14ac:dyDescent="0.4">
      <c r="A6" s="1" t="s">
        <v>46</v>
      </c>
      <c r="B6" s="23">
        <f>1/62.5</f>
        <v>1.6E-2</v>
      </c>
      <c r="C6" s="17">
        <f>8750*10.58%</f>
        <v>925.75</v>
      </c>
      <c r="D6" s="33">
        <v>491</v>
      </c>
      <c r="E6" s="18">
        <v>0.26950000000000002</v>
      </c>
      <c r="F6" s="18">
        <v>0.46250000000000002</v>
      </c>
      <c r="G6" s="7" cm="1">
        <f t="array" ref="G6">SUMPRODUCT(B6:F6, TRANSPOSE($B$24:$B$28))</f>
        <v>8.5731617647058833</v>
      </c>
      <c r="H6" s="7" cm="1">
        <f t="array" ref="H6">SUMPRODUCT(B6:F6, TRANSPOSE($F$24:$F$28))</f>
        <v>4.1641071428571426</v>
      </c>
      <c r="J6" t="s">
        <v>89</v>
      </c>
    </row>
    <row r="7" spans="1:12" x14ac:dyDescent="0.4">
      <c r="A7" s="1" t="s">
        <v>43</v>
      </c>
      <c r="B7" s="23">
        <f>1/26.22</f>
        <v>3.8138825324180017E-2</v>
      </c>
      <c r="C7" s="17">
        <f>8750*9%</f>
        <v>787.5</v>
      </c>
      <c r="D7" s="18">
        <v>462</v>
      </c>
      <c r="E7" s="18">
        <v>8.2500000000000004E-2</v>
      </c>
      <c r="F7" s="34">
        <v>1.042</v>
      </c>
      <c r="G7" s="7" cm="1">
        <f t="array" ref="G7">SUMPRODUCT(B7:F7, TRANSPOSE($B$24:$B$28))</f>
        <v>11.376695831650739</v>
      </c>
      <c r="H7" s="7" cm="1">
        <f t="array" ref="H7">SUMPRODUCT(B7:F7, TRANSPOSE($F$24:$F$28))</f>
        <v>5.525823689658929</v>
      </c>
      <c r="J7" s="3" t="s">
        <v>106</v>
      </c>
    </row>
    <row r="8" spans="1:12" x14ac:dyDescent="0.4">
      <c r="A8" s="1" t="s">
        <v>45</v>
      </c>
      <c r="B8" s="23">
        <f>1/30</f>
        <v>3.3333333333333333E-2</v>
      </c>
      <c r="C8" s="17">
        <f>8750*5.95%</f>
        <v>520.625</v>
      </c>
      <c r="D8" s="18">
        <v>220</v>
      </c>
      <c r="E8" s="18">
        <f>0.1014*1.25</f>
        <v>0.12675</v>
      </c>
      <c r="G8" s="7" cm="1">
        <f t="array" ref="G8">SUMPRODUCT(B8:F8, TRANSPOSE($B$24:$B$28))</f>
        <v>8.5931862745098044</v>
      </c>
      <c r="H8" s="7" cm="1">
        <f t="array" ref="H8">SUMPRODUCT(B8:F8, TRANSPOSE($F$24:$F$28))</f>
        <v>4.1738333333333335</v>
      </c>
      <c r="J8" t="s">
        <v>102</v>
      </c>
    </row>
    <row r="9" spans="1:12" x14ac:dyDescent="0.4">
      <c r="A9" s="1" t="s">
        <v>47</v>
      </c>
      <c r="B9" s="23">
        <f>1/12</f>
        <v>8.3333333333333329E-2</v>
      </c>
      <c r="G9" s="7" cm="1">
        <f t="array" ref="G9">SUMPRODUCT(B9:F9, TRANSPOSE($B$24:$B$28))</f>
        <v>15.31862745098039</v>
      </c>
      <c r="H9" s="7" cm="1">
        <f t="array" ref="H9">SUMPRODUCT(B9:F9, TRANSPOSE($F$24:$F$28))</f>
        <v>7.4404761904761907</v>
      </c>
      <c r="J9" t="s">
        <v>90</v>
      </c>
    </row>
    <row r="10" spans="1:12" x14ac:dyDescent="0.4">
      <c r="A10" s="1" t="s">
        <v>48</v>
      </c>
      <c r="B10" s="24">
        <v>0.14580000000000001</v>
      </c>
      <c r="C10" s="18">
        <f>8750*0.005</f>
        <v>43.75</v>
      </c>
      <c r="D10" s="32">
        <v>3522</v>
      </c>
      <c r="E10" s="32">
        <v>0.73180000000000001</v>
      </c>
      <c r="G10" s="7" cm="1">
        <f t="array" ref="G10">SUMPRODUCT(B10:F10, TRANSPOSE($B$24:$B$28))</f>
        <v>41.524294117647059</v>
      </c>
      <c r="H10" s="7" cm="1">
        <f t="array" ref="H10">SUMPRODUCT(B10:F10, TRANSPOSE($F$24:$F$28))</f>
        <v>20.168942857142859</v>
      </c>
      <c r="J10" t="s">
        <v>94</v>
      </c>
    </row>
    <row r="11" spans="1:12" x14ac:dyDescent="0.4">
      <c r="A11" s="1">
        <v>300</v>
      </c>
      <c r="B11" s="24">
        <v>3.5700000000000003E-2</v>
      </c>
      <c r="C11" s="33">
        <f>8750*23.54%</f>
        <v>2059.75</v>
      </c>
      <c r="D11" s="18">
        <v>288</v>
      </c>
      <c r="E11" s="18">
        <f>0.1352+0.0205*1.25</f>
        <v>0.160825</v>
      </c>
      <c r="F11" s="18">
        <f>0.2084+0.188/4</f>
        <v>0.25540000000000002</v>
      </c>
      <c r="G11" s="7" cm="1">
        <f t="array" ref="G11">SUMPRODUCT(B11:F11, TRANSPOSE($B$24:$B$28))</f>
        <v>12.165058823529415</v>
      </c>
      <c r="H11" s="7" cm="1">
        <f t="array" ref="H11">SUMPRODUCT(B11:F11, TRANSPOSE($F$24:$F$28))</f>
        <v>5.9087428571428582</v>
      </c>
    </row>
    <row r="12" spans="1:12" x14ac:dyDescent="0.4">
      <c r="A12" s="1" t="s">
        <v>76</v>
      </c>
      <c r="B12" s="31">
        <f>0.167</f>
        <v>0.16700000000000001</v>
      </c>
      <c r="C12" s="18">
        <f>8750*0.0833</f>
        <v>728.875</v>
      </c>
      <c r="D12" s="18">
        <v>900</v>
      </c>
      <c r="E12" s="33">
        <v>0.16120000000000001</v>
      </c>
      <c r="F12" s="18">
        <f>0.0947+0.296/4</f>
        <v>0.16870000000000002</v>
      </c>
      <c r="G12" s="7" cm="1">
        <f t="array" ref="G12">SUMPRODUCT(B12:F12, TRANSPOSE($B$24:$B$28))</f>
        <v>35.526779411764707</v>
      </c>
      <c r="H12" s="7" cm="1">
        <f t="array" ref="H12">SUMPRODUCT(B12:F12, TRANSPOSE($F$24:$F$28))</f>
        <v>17.255864285714289</v>
      </c>
    </row>
    <row r="13" spans="1:12" x14ac:dyDescent="0.4">
      <c r="B13"/>
      <c r="C13"/>
      <c r="D13"/>
      <c r="E13"/>
      <c r="F13"/>
    </row>
    <row r="14" spans="1:12" x14ac:dyDescent="0.4">
      <c r="A14" s="1" t="s">
        <v>107</v>
      </c>
      <c r="B14" s="24">
        <f>0.0235</f>
        <v>2.35E-2</v>
      </c>
      <c r="C14" s="17">
        <f>8750*12.27%</f>
        <v>1073.625</v>
      </c>
      <c r="D14" s="18">
        <v>372</v>
      </c>
      <c r="E14" s="18">
        <v>0.11650000000000001</v>
      </c>
      <c r="F14" s="18">
        <v>0.25</v>
      </c>
      <c r="G14" s="7" cm="1">
        <f t="array" ref="G14">SUMPRODUCT(B14:F14, TRANSPOSE($B$24:$B$28))</f>
        <v>8.1917647058823526</v>
      </c>
      <c r="H14" s="7" cm="1">
        <f t="array" ref="H14">SUMPRODUCT(B14:F14, TRANSPOSE($F$24:$F$28))</f>
        <v>3.9788571428571431</v>
      </c>
    </row>
    <row r="17" spans="1:10" x14ac:dyDescent="0.4">
      <c r="D17" s="19" t="s">
        <v>114</v>
      </c>
    </row>
    <row r="18" spans="1:10" x14ac:dyDescent="0.4">
      <c r="B18" s="1" t="s">
        <v>37</v>
      </c>
      <c r="C18" t="s">
        <v>73</v>
      </c>
      <c r="D18" s="1" t="s">
        <v>36</v>
      </c>
      <c r="E18" s="1" t="s">
        <v>38</v>
      </c>
      <c r="F18" t="s">
        <v>39</v>
      </c>
      <c r="G18" s="1" t="s">
        <v>35</v>
      </c>
      <c r="H18" s="1" t="s">
        <v>92</v>
      </c>
    </row>
    <row r="19" spans="1:10" x14ac:dyDescent="0.4">
      <c r="A19" s="1" t="s">
        <v>97</v>
      </c>
      <c r="B19" s="6">
        <v>5.4400000000000004E-3</v>
      </c>
      <c r="C19" s="7">
        <v>661.11111111111109</v>
      </c>
      <c r="D19" s="1">
        <v>453.33333333333337</v>
      </c>
      <c r="E19" s="1">
        <v>0.10625</v>
      </c>
      <c r="F19">
        <v>0.75555555555555554</v>
      </c>
      <c r="G19" s="1">
        <v>1</v>
      </c>
      <c r="H19" s="20">
        <v>0.48571428571428571</v>
      </c>
    </row>
    <row r="20" spans="1:10" x14ac:dyDescent="0.4">
      <c r="B20" s="1" t="s">
        <v>37</v>
      </c>
      <c r="C20" s="1" t="s">
        <v>73</v>
      </c>
      <c r="D20" s="1" t="s">
        <v>36</v>
      </c>
      <c r="E20" s="1" t="s">
        <v>38</v>
      </c>
      <c r="F20" t="s">
        <v>39</v>
      </c>
      <c r="G20" s="1" t="s">
        <v>35</v>
      </c>
      <c r="H20" s="1" t="s">
        <v>92</v>
      </c>
    </row>
    <row r="21" spans="1:10" x14ac:dyDescent="0.4">
      <c r="A21" s="1" t="s">
        <v>98</v>
      </c>
      <c r="B21">
        <v>1.12E-2</v>
      </c>
      <c r="C21" s="1">
        <v>1361.1111111111111</v>
      </c>
      <c r="D21" s="1">
        <v>933.33333333333337</v>
      </c>
      <c r="E21" s="1">
        <v>0.21875</v>
      </c>
      <c r="F21">
        <v>1.5555555555555556</v>
      </c>
      <c r="G21" s="21">
        <v>2.0588235294117645</v>
      </c>
      <c r="H21" s="1">
        <v>1</v>
      </c>
      <c r="J21" s="19" t="s">
        <v>113</v>
      </c>
    </row>
    <row r="22" spans="1:10" x14ac:dyDescent="0.4">
      <c r="B22"/>
      <c r="F22"/>
      <c r="G22" s="1"/>
      <c r="H22" s="1"/>
      <c r="J22" t="s">
        <v>110</v>
      </c>
    </row>
    <row r="23" spans="1:10" x14ac:dyDescent="0.4">
      <c r="A23" s="1" t="s">
        <v>99</v>
      </c>
      <c r="B23" s="1" t="s">
        <v>35</v>
      </c>
      <c r="E23" s="1" t="s">
        <v>99</v>
      </c>
      <c r="F23" s="1" t="s">
        <v>92</v>
      </c>
      <c r="J23" t="s">
        <v>103</v>
      </c>
    </row>
    <row r="24" spans="1:10" x14ac:dyDescent="0.4">
      <c r="A24" s="1" t="s">
        <v>37</v>
      </c>
      <c r="B24" s="6">
        <f>1/0.00544</f>
        <v>183.8235294117647</v>
      </c>
      <c r="E24" s="1" t="s">
        <v>37</v>
      </c>
      <c r="F24">
        <f>1/0.0112</f>
        <v>89.285714285714292</v>
      </c>
      <c r="J24" t="s">
        <v>111</v>
      </c>
    </row>
    <row r="25" spans="1:10" x14ac:dyDescent="0.4">
      <c r="A25" t="s">
        <v>73</v>
      </c>
      <c r="B25" s="5">
        <f>1/661.111111111111</f>
        <v>1.5126050420168071E-3</v>
      </c>
      <c r="E25" s="1" t="s">
        <v>73</v>
      </c>
      <c r="F25" s="1">
        <f>1/1361.11111111111</f>
        <v>7.3469387755102102E-4</v>
      </c>
      <c r="J25" t="s">
        <v>105</v>
      </c>
    </row>
    <row r="26" spans="1:10" x14ac:dyDescent="0.4">
      <c r="A26" s="1" t="s">
        <v>36</v>
      </c>
      <c r="B26" s="1">
        <f>1/453.333333333333</f>
        <v>2.2058823529411782E-3</v>
      </c>
      <c r="E26" s="1" t="s">
        <v>36</v>
      </c>
      <c r="F26" s="1">
        <f>1/933.333333333333</f>
        <v>1.0714285714285717E-3</v>
      </c>
      <c r="J26" t="s">
        <v>109</v>
      </c>
    </row>
    <row r="27" spans="1:10" x14ac:dyDescent="0.4">
      <c r="A27" s="1" t="s">
        <v>38</v>
      </c>
      <c r="B27" s="1">
        <f>1/0.10625</f>
        <v>9.4117647058823533</v>
      </c>
      <c r="E27" s="1" t="s">
        <v>38</v>
      </c>
      <c r="F27" s="1">
        <f>1/0.21875</f>
        <v>4.5714285714285712</v>
      </c>
      <c r="J27" t="s">
        <v>112</v>
      </c>
    </row>
    <row r="28" spans="1:10" x14ac:dyDescent="0.4">
      <c r="A28" t="s">
        <v>39</v>
      </c>
      <c r="B28">
        <f>1/0.755555555555556</f>
        <v>1.3235294117647052</v>
      </c>
      <c r="E28" t="s">
        <v>39</v>
      </c>
      <c r="F28">
        <f>1/1.55555555555556</f>
        <v>0.64285714285714102</v>
      </c>
      <c r="J28" t="s">
        <v>108</v>
      </c>
    </row>
    <row r="29" spans="1:10" x14ac:dyDescent="0.4">
      <c r="A29" s="1" t="s">
        <v>35</v>
      </c>
      <c r="B29" s="1">
        <f>1/1</f>
        <v>1</v>
      </c>
      <c r="E29" s="1" t="s">
        <v>35</v>
      </c>
      <c r="F29" s="21">
        <f>1/2.05882352941176</f>
        <v>0.48571428571428682</v>
      </c>
    </row>
    <row r="30" spans="1:10" x14ac:dyDescent="0.4">
      <c r="A30" s="1" t="s">
        <v>92</v>
      </c>
      <c r="B30" s="20">
        <f>1/0.485714285714286</f>
        <v>2.0588235294117636</v>
      </c>
      <c r="E30" s="1" t="s">
        <v>92</v>
      </c>
      <c r="F30" s="1">
        <f>1/1</f>
        <v>1</v>
      </c>
    </row>
    <row r="31" spans="1:10" x14ac:dyDescent="0.4">
      <c r="E31"/>
      <c r="F31"/>
    </row>
    <row r="32" spans="1:10" x14ac:dyDescent="0.4">
      <c r="E32"/>
      <c r="F32"/>
    </row>
    <row r="33" spans="5:6" x14ac:dyDescent="0.4">
      <c r="E33"/>
      <c r="F33"/>
    </row>
    <row r="34" spans="5:6" x14ac:dyDescent="0.4">
      <c r="E34"/>
      <c r="F34"/>
    </row>
    <row r="35" spans="5:6" x14ac:dyDescent="0.4">
      <c r="E35"/>
      <c r="F35"/>
    </row>
  </sheetData>
  <phoneticPr fontId="1" type="noConversion"/>
  <conditionalFormatting sqref="G3:G12">
    <cfRule type="dataBar" priority="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{25C99D41-B0E3-4FD0-AA3F-796BFF44D856}</x14:id>
        </ext>
      </extLst>
    </cfRule>
  </conditionalFormatting>
  <conditionalFormatting sqref="G3:G12">
    <cfRule type="dataBar" priority="3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{2C26CC91-C95B-451A-B8C1-FAC2B38110BF}</x14:id>
        </ext>
      </extLst>
    </cfRule>
  </conditionalFormatting>
  <hyperlinks>
    <hyperlink ref="K2" r:id="rId1" xr:uid="{B63EAD70-FE9D-41B5-AE81-C7D49BA8F518}"/>
  </hyperlink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5C99D41-B0E3-4FD0-AA3F-796BFF44D85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G3:G12</xm:sqref>
        </x14:conditionalFormatting>
        <x14:conditionalFormatting xmlns:xm="http://schemas.microsoft.com/office/excel/2006/main">
          <x14:cfRule type="dataBar" id="{2C26CC91-C95B-451A-B8C1-FAC2B38110BF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G3:G12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F5467-187F-4D5A-8A8C-22EAD90D508B}">
  <dimension ref="A1:J17"/>
  <sheetViews>
    <sheetView workbookViewId="0">
      <selection activeCell="A13" sqref="A13:J14"/>
    </sheetView>
  </sheetViews>
  <sheetFormatPr defaultRowHeight="13.9" x14ac:dyDescent="0.4"/>
  <sheetData>
    <row r="1" spans="1:10" x14ac:dyDescent="0.4">
      <c r="B1" t="s">
        <v>25</v>
      </c>
      <c r="C1" t="s">
        <v>26</v>
      </c>
      <c r="D1" t="s">
        <v>27</v>
      </c>
      <c r="E1" t="s">
        <v>28</v>
      </c>
    </row>
    <row r="2" spans="1:10" x14ac:dyDescent="0.4">
      <c r="A2" t="s">
        <v>11</v>
      </c>
      <c r="B2">
        <v>8888</v>
      </c>
      <c r="C2">
        <v>2800</v>
      </c>
      <c r="D2">
        <f>C2/B2</f>
        <v>0.31503150315031503</v>
      </c>
    </row>
    <row r="3" spans="1:10" x14ac:dyDescent="0.4">
      <c r="A3" t="s">
        <v>21</v>
      </c>
      <c r="B3">
        <v>1</v>
      </c>
      <c r="C3">
        <v>1800</v>
      </c>
      <c r="D3">
        <f>C3/B3</f>
        <v>1800</v>
      </c>
      <c r="E3" t="s">
        <v>31</v>
      </c>
    </row>
    <row r="4" spans="1:10" x14ac:dyDescent="0.4">
      <c r="A4" t="s">
        <v>22</v>
      </c>
      <c r="B4">
        <v>10</v>
      </c>
      <c r="C4">
        <v>1800</v>
      </c>
      <c r="D4">
        <f t="shared" ref="D4:D8" si="0">C4/B4</f>
        <v>180</v>
      </c>
    </row>
    <row r="5" spans="1:10" x14ac:dyDescent="0.4">
      <c r="A5" t="s">
        <v>11</v>
      </c>
      <c r="B5">
        <v>10000</v>
      </c>
      <c r="C5">
        <v>3000</v>
      </c>
      <c r="D5">
        <f t="shared" si="0"/>
        <v>0.3</v>
      </c>
    </row>
    <row r="6" spans="1:10" x14ac:dyDescent="0.4">
      <c r="A6" t="s">
        <v>24</v>
      </c>
      <c r="B6">
        <v>1</v>
      </c>
      <c r="C6">
        <v>3800</v>
      </c>
      <c r="D6">
        <f t="shared" si="0"/>
        <v>3800</v>
      </c>
      <c r="E6" t="s">
        <v>29</v>
      </c>
    </row>
    <row r="7" spans="1:10" x14ac:dyDescent="0.4">
      <c r="A7" t="s">
        <v>15</v>
      </c>
      <c r="B7">
        <v>10</v>
      </c>
      <c r="C7">
        <v>12800</v>
      </c>
      <c r="D7">
        <f t="shared" si="0"/>
        <v>1280</v>
      </c>
    </row>
    <row r="8" spans="1:10" x14ac:dyDescent="0.4">
      <c r="A8" t="s">
        <v>6</v>
      </c>
      <c r="B8">
        <v>50</v>
      </c>
      <c r="C8">
        <v>6800</v>
      </c>
      <c r="D8">
        <f t="shared" si="0"/>
        <v>136</v>
      </c>
    </row>
    <row r="9" spans="1:10" x14ac:dyDescent="0.4">
      <c r="A9" t="s">
        <v>7</v>
      </c>
      <c r="B9">
        <v>100</v>
      </c>
      <c r="C9">
        <v>28000</v>
      </c>
      <c r="D9">
        <f>C9/B9</f>
        <v>280</v>
      </c>
    </row>
    <row r="10" spans="1:10" x14ac:dyDescent="0.4">
      <c r="A10" t="s">
        <v>23</v>
      </c>
      <c r="B10">
        <v>1</v>
      </c>
      <c r="C10">
        <v>8800</v>
      </c>
      <c r="D10">
        <f>C10/B10</f>
        <v>8800</v>
      </c>
      <c r="E10" t="s">
        <v>30</v>
      </c>
    </row>
    <row r="11" spans="1:10" x14ac:dyDescent="0.4">
      <c r="A11" t="s">
        <v>93</v>
      </c>
      <c r="B11">
        <v>1</v>
      </c>
      <c r="C11">
        <v>20000</v>
      </c>
      <c r="D11">
        <v>25000</v>
      </c>
    </row>
    <row r="13" spans="1:10" x14ac:dyDescent="0.4">
      <c r="B13" t="s">
        <v>7</v>
      </c>
      <c r="C13" t="s">
        <v>6</v>
      </c>
      <c r="D13" t="s">
        <v>11</v>
      </c>
      <c r="E13" t="s">
        <v>15</v>
      </c>
      <c r="F13" t="s">
        <v>32</v>
      </c>
      <c r="G13" t="s">
        <v>33</v>
      </c>
      <c r="H13" t="s">
        <v>34</v>
      </c>
      <c r="I13" t="s">
        <v>37</v>
      </c>
      <c r="J13" t="s">
        <v>22</v>
      </c>
    </row>
    <row r="14" spans="1:10" x14ac:dyDescent="0.4">
      <c r="A14" t="s">
        <v>7</v>
      </c>
      <c r="B14">
        <v>1</v>
      </c>
      <c r="C14">
        <f>D9/D8</f>
        <v>2.0588235294117645</v>
      </c>
      <c r="D14">
        <f>D9/D5</f>
        <v>933.33333333333337</v>
      </c>
      <c r="E14">
        <f>D9/D7</f>
        <v>0.21875</v>
      </c>
      <c r="F14">
        <f>D9/(D3/8750)</f>
        <v>1361.1111111111111</v>
      </c>
      <c r="G14">
        <f>D9/D6*26250</f>
        <v>1934.2105263157894</v>
      </c>
      <c r="H14">
        <f>D9/D10*78750</f>
        <v>2505.681818181818</v>
      </c>
      <c r="I14">
        <f>D9/D11</f>
        <v>1.12E-2</v>
      </c>
      <c r="J14">
        <f>D9/D4</f>
        <v>1.5555555555555556</v>
      </c>
    </row>
    <row r="16" spans="1:10" x14ac:dyDescent="0.4">
      <c r="B16" t="s">
        <v>7</v>
      </c>
      <c r="C16" t="s">
        <v>6</v>
      </c>
      <c r="D16" t="s">
        <v>11</v>
      </c>
      <c r="E16" t="s">
        <v>15</v>
      </c>
      <c r="F16" t="s">
        <v>32</v>
      </c>
      <c r="G16" t="s">
        <v>37</v>
      </c>
      <c r="H16" t="s">
        <v>22</v>
      </c>
    </row>
    <row r="17" spans="1:8" x14ac:dyDescent="0.4">
      <c r="A17" t="s">
        <v>6</v>
      </c>
      <c r="B17">
        <f>D8/D9</f>
        <v>0.48571428571428571</v>
      </c>
      <c r="C17">
        <f>D8/D8</f>
        <v>1</v>
      </c>
      <c r="D17">
        <f>D8/D5</f>
        <v>453.33333333333337</v>
      </c>
      <c r="E17">
        <f>D8/D7</f>
        <v>0.10625</v>
      </c>
      <c r="F17">
        <f>D8/D3*8750</f>
        <v>661.11111111111109</v>
      </c>
      <c r="G17">
        <f>D8/D11</f>
        <v>5.4400000000000004E-3</v>
      </c>
      <c r="H17">
        <f>D8/D4</f>
        <v>0.75555555555555554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324C6-85BE-4A48-9506-1BB44AC407B2}">
  <dimension ref="A2:L24"/>
  <sheetViews>
    <sheetView workbookViewId="0">
      <selection activeCell="F5" sqref="F5"/>
    </sheetView>
  </sheetViews>
  <sheetFormatPr defaultRowHeight="13.9" x14ac:dyDescent="0.4"/>
  <cols>
    <col min="1" max="1" width="12.86328125" bestFit="1" customWidth="1"/>
    <col min="2" max="2" width="20.33203125" customWidth="1"/>
    <col min="3" max="3" width="19" bestFit="1" customWidth="1"/>
    <col min="4" max="4" width="8.796875" bestFit="1" customWidth="1"/>
    <col min="5" max="5" width="6.59765625" customWidth="1"/>
    <col min="6" max="6" width="6.06640625" bestFit="1" customWidth="1"/>
    <col min="7" max="7" width="9.53125" bestFit="1" customWidth="1"/>
    <col min="8" max="8" width="8.06640625" bestFit="1" customWidth="1"/>
  </cols>
  <sheetData>
    <row r="2" spans="1:12" x14ac:dyDescent="0.4">
      <c r="A2" s="8" t="s">
        <v>53</v>
      </c>
      <c r="B2" s="8" t="s">
        <v>65</v>
      </c>
      <c r="E2" s="13" t="s">
        <v>72</v>
      </c>
    </row>
    <row r="3" spans="1:12" x14ac:dyDescent="0.4">
      <c r="A3" t="s">
        <v>57</v>
      </c>
      <c r="B3" t="s">
        <v>64</v>
      </c>
      <c r="E3" s="13" t="s">
        <v>71</v>
      </c>
    </row>
    <row r="4" spans="1:12" x14ac:dyDescent="0.4">
      <c r="A4" s="10" t="s">
        <v>55</v>
      </c>
      <c r="B4" s="10" t="s">
        <v>56</v>
      </c>
    </row>
    <row r="5" spans="1:12" x14ac:dyDescent="0.4">
      <c r="A5" t="s">
        <v>59</v>
      </c>
      <c r="B5" t="s">
        <v>58</v>
      </c>
    </row>
    <row r="6" spans="1:12" x14ac:dyDescent="0.4">
      <c r="A6" t="s">
        <v>62</v>
      </c>
      <c r="B6" t="s">
        <v>63</v>
      </c>
      <c r="E6" t="s">
        <v>84</v>
      </c>
      <c r="F6" t="s">
        <v>83</v>
      </c>
    </row>
    <row r="7" spans="1:12" x14ac:dyDescent="0.4">
      <c r="B7" s="11" t="s">
        <v>68</v>
      </c>
      <c r="K7" t="s">
        <v>49</v>
      </c>
    </row>
    <row r="8" spans="1:12" ht="15" x14ac:dyDescent="0.5">
      <c r="A8" s="16" t="s">
        <v>75</v>
      </c>
      <c r="B8" s="16" t="s">
        <v>80</v>
      </c>
      <c r="K8" t="s">
        <v>50</v>
      </c>
      <c r="L8" s="4" t="s">
        <v>54</v>
      </c>
    </row>
    <row r="9" spans="1:12" x14ac:dyDescent="0.4">
      <c r="G9" t="s">
        <v>79</v>
      </c>
      <c r="K9" t="s">
        <v>41</v>
      </c>
      <c r="L9" t="s">
        <v>51</v>
      </c>
    </row>
    <row r="10" spans="1:12" x14ac:dyDescent="0.4">
      <c r="E10" t="s">
        <v>74</v>
      </c>
      <c r="K10" t="s">
        <v>42</v>
      </c>
      <c r="L10" t="s">
        <v>52</v>
      </c>
    </row>
    <row r="11" spans="1:12" x14ac:dyDescent="0.4">
      <c r="D11" t="s">
        <v>37</v>
      </c>
      <c r="E11" t="s">
        <v>73</v>
      </c>
      <c r="F11" t="s">
        <v>11</v>
      </c>
      <c r="G11" t="s">
        <v>77</v>
      </c>
      <c r="H11" t="s">
        <v>78</v>
      </c>
      <c r="I11" t="s">
        <v>82</v>
      </c>
    </row>
    <row r="12" spans="1:12" x14ac:dyDescent="0.4">
      <c r="A12" t="s">
        <v>60</v>
      </c>
      <c r="B12" t="s">
        <v>61</v>
      </c>
      <c r="C12" s="1" t="s">
        <v>40</v>
      </c>
      <c r="D12" s="9">
        <f>1/23.4</f>
        <v>4.2735042735042736E-2</v>
      </c>
      <c r="E12" s="14">
        <f>8750*12.27%</f>
        <v>1073.625</v>
      </c>
      <c r="F12" s="13">
        <v>372</v>
      </c>
      <c r="G12" s="13">
        <v>0.11650000000000001</v>
      </c>
      <c r="H12" s="13">
        <v>0.25</v>
      </c>
    </row>
    <row r="13" spans="1:12" x14ac:dyDescent="0.4">
      <c r="C13" s="1" t="s">
        <v>41</v>
      </c>
      <c r="D13" s="9">
        <f>1/27.7</f>
        <v>3.6101083032490974E-2</v>
      </c>
      <c r="E13" s="14">
        <f>8750*6.6%</f>
        <v>577.5</v>
      </c>
      <c r="F13" s="13">
        <v>456</v>
      </c>
      <c r="G13" s="13">
        <v>0.1363</v>
      </c>
      <c r="H13" s="13">
        <v>0.26379999999999998</v>
      </c>
    </row>
    <row r="14" spans="1:12" x14ac:dyDescent="0.4">
      <c r="C14" s="1" t="s">
        <v>42</v>
      </c>
      <c r="D14" s="9">
        <f>1/35.8</f>
        <v>2.793296089385475E-2</v>
      </c>
      <c r="E14" s="14">
        <f>8750*5.5%</f>
        <v>481.25</v>
      </c>
      <c r="F14" s="13">
        <v>318</v>
      </c>
      <c r="G14" s="13">
        <v>0.1142</v>
      </c>
      <c r="H14" s="13">
        <v>0.222</v>
      </c>
    </row>
    <row r="15" spans="1:12" x14ac:dyDescent="0.4">
      <c r="A15" t="s">
        <v>44</v>
      </c>
      <c r="B15" t="s">
        <v>70</v>
      </c>
      <c r="C15" s="1" t="s">
        <v>46</v>
      </c>
      <c r="D15" s="11">
        <f>1/62.5</f>
        <v>1.6E-2</v>
      </c>
      <c r="E15" s="14">
        <f>8750*10.58%</f>
        <v>925.75</v>
      </c>
      <c r="F15" s="13">
        <v>491</v>
      </c>
      <c r="G15" s="13">
        <v>0.26950000000000002</v>
      </c>
      <c r="H15" s="13">
        <v>0.46250000000000002</v>
      </c>
    </row>
    <row r="16" spans="1:12" x14ac:dyDescent="0.4">
      <c r="B16" t="s">
        <v>69</v>
      </c>
      <c r="C16" s="1" t="s">
        <v>43</v>
      </c>
      <c r="D16" s="12">
        <f>1/26.22</f>
        <v>3.8138825324180017E-2</v>
      </c>
      <c r="E16" s="14">
        <f>8750*9%</f>
        <v>787.5</v>
      </c>
      <c r="F16" s="13">
        <v>462</v>
      </c>
      <c r="G16" s="13">
        <v>8.2500000000000004E-2</v>
      </c>
      <c r="H16" s="15">
        <v>1.042</v>
      </c>
    </row>
    <row r="17" spans="1:10" x14ac:dyDescent="0.4">
      <c r="C17" s="1" t="s">
        <v>45</v>
      </c>
      <c r="D17" s="11">
        <f>1/30</f>
        <v>3.3333333333333333E-2</v>
      </c>
      <c r="E17" s="14">
        <f>8750*5.95%</f>
        <v>520.625</v>
      </c>
      <c r="F17" s="13">
        <v>220</v>
      </c>
      <c r="G17" s="13">
        <f>0.1014*1.25</f>
        <v>0.12675</v>
      </c>
    </row>
    <row r="18" spans="1:10" x14ac:dyDescent="0.4">
      <c r="C18" s="1" t="s">
        <v>47</v>
      </c>
      <c r="D18" s="12">
        <f>1/12</f>
        <v>8.3333333333333329E-2</v>
      </c>
    </row>
    <row r="19" spans="1:10" x14ac:dyDescent="0.4">
      <c r="C19" s="1" t="s">
        <v>48</v>
      </c>
      <c r="D19" s="13">
        <v>0.14580000000000001</v>
      </c>
      <c r="E19" s="13">
        <f>8750*0.005</f>
        <v>43.75</v>
      </c>
      <c r="F19" s="13">
        <v>3522</v>
      </c>
      <c r="G19" s="13">
        <v>0.73180000000000001</v>
      </c>
    </row>
    <row r="20" spans="1:10" x14ac:dyDescent="0.4">
      <c r="A20" t="s">
        <v>66</v>
      </c>
      <c r="B20" t="s">
        <v>67</v>
      </c>
      <c r="C20" s="1">
        <v>300</v>
      </c>
      <c r="D20" s="13">
        <v>3.5700000000000003E-2</v>
      </c>
      <c r="E20" s="13">
        <f>8750*23.54%</f>
        <v>2059.75</v>
      </c>
      <c r="F20" s="13">
        <v>288</v>
      </c>
      <c r="G20" s="13">
        <f>0.1352+0.0205*1.25</f>
        <v>0.160825</v>
      </c>
      <c r="H20" s="13">
        <f>0.2084+0.188/4</f>
        <v>0.25540000000000002</v>
      </c>
    </row>
    <row r="21" spans="1:10" x14ac:dyDescent="0.4">
      <c r="B21" t="s">
        <v>81</v>
      </c>
      <c r="C21" s="1" t="s">
        <v>76</v>
      </c>
      <c r="D21" s="13">
        <f>0.167</f>
        <v>0.16700000000000001</v>
      </c>
      <c r="E21" s="13">
        <f>8750*0.0833</f>
        <v>728.875</v>
      </c>
      <c r="F21" s="13">
        <v>900</v>
      </c>
      <c r="G21" s="13">
        <v>0.16120000000000001</v>
      </c>
      <c r="H21" s="13">
        <f>0.0947+0.296/4</f>
        <v>0.16870000000000002</v>
      </c>
    </row>
    <row r="22" spans="1:10" x14ac:dyDescent="0.4">
      <c r="C22" s="26">
        <v>999</v>
      </c>
      <c r="D22" s="27">
        <v>4.07E-2</v>
      </c>
      <c r="E22" s="27">
        <f>8750*17.72%</f>
        <v>1550.5</v>
      </c>
      <c r="F22" s="27">
        <f>267</f>
        <v>267</v>
      </c>
      <c r="G22" s="27">
        <v>8.4199999999999997E-2</v>
      </c>
      <c r="H22" s="27">
        <v>0.2</v>
      </c>
    </row>
    <row r="23" spans="1:10" x14ac:dyDescent="0.4">
      <c r="B23" t="s">
        <v>81</v>
      </c>
      <c r="C23" s="26" t="s">
        <v>75</v>
      </c>
      <c r="D23" s="28">
        <f>650/14340</f>
        <v>4.5327754532775454E-2</v>
      </c>
      <c r="E23" s="29">
        <f>8750/14340*449</f>
        <v>273.97140864714089</v>
      </c>
      <c r="F23" s="30"/>
      <c r="G23" s="30"/>
      <c r="H23" s="30"/>
      <c r="I23">
        <f>39000/12</f>
        <v>3250</v>
      </c>
      <c r="J23" t="s">
        <v>85</v>
      </c>
    </row>
    <row r="24" spans="1:10" x14ac:dyDescent="0.4">
      <c r="C24" s="1" t="s">
        <v>104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8"/>
  <sheetViews>
    <sheetView workbookViewId="0">
      <selection activeCell="J9" sqref="J9"/>
    </sheetView>
  </sheetViews>
  <sheetFormatPr defaultRowHeight="13.9" x14ac:dyDescent="0.4"/>
  <cols>
    <col min="1" max="1" width="10.796875" style="1" bestFit="1" customWidth="1"/>
    <col min="2" max="4" width="9.06640625" style="1"/>
  </cols>
  <sheetData>
    <row r="1" spans="1:14" x14ac:dyDescent="0.4">
      <c r="A1" s="1" t="s">
        <v>2</v>
      </c>
      <c r="B1" s="1" t="s">
        <v>5</v>
      </c>
      <c r="C1" s="1" t="s">
        <v>18</v>
      </c>
      <c r="D1" s="1" t="s">
        <v>19</v>
      </c>
    </row>
    <row r="2" spans="1:14" x14ac:dyDescent="0.4">
      <c r="A2" s="1" t="s">
        <v>0</v>
      </c>
      <c r="B2" s="1" t="s">
        <v>6</v>
      </c>
      <c r="C2" s="1">
        <v>18</v>
      </c>
    </row>
    <row r="3" spans="1:14" x14ac:dyDescent="0.4">
      <c r="A3" s="1" t="s">
        <v>1</v>
      </c>
      <c r="B3" s="1" t="s">
        <v>7</v>
      </c>
      <c r="C3" s="1">
        <v>9</v>
      </c>
    </row>
    <row r="4" spans="1:14" x14ac:dyDescent="0.4">
      <c r="A4" s="1" t="s">
        <v>10</v>
      </c>
      <c r="B4" s="1" t="s">
        <v>11</v>
      </c>
      <c r="C4" s="1">
        <v>9000</v>
      </c>
      <c r="J4" t="s">
        <v>20</v>
      </c>
      <c r="K4" t="s">
        <v>6</v>
      </c>
      <c r="L4" t="s">
        <v>7</v>
      </c>
      <c r="M4" t="s">
        <v>11</v>
      </c>
      <c r="N4" t="s">
        <v>15</v>
      </c>
    </row>
    <row r="5" spans="1:14" x14ac:dyDescent="0.4">
      <c r="A5" s="1" t="s">
        <v>14</v>
      </c>
      <c r="B5" s="1" t="s">
        <v>15</v>
      </c>
      <c r="C5" s="1">
        <v>5</v>
      </c>
      <c r="D5"/>
      <c r="J5" t="s">
        <v>6</v>
      </c>
      <c r="K5">
        <v>1</v>
      </c>
      <c r="L5">
        <v>0.5</v>
      </c>
      <c r="M5">
        <v>500</v>
      </c>
      <c r="N5">
        <f>1/K8</f>
        <v>0.27777777777777779</v>
      </c>
    </row>
    <row r="6" spans="1:14" x14ac:dyDescent="0.4">
      <c r="J6" t="s">
        <v>7</v>
      </c>
      <c r="K6">
        <v>2</v>
      </c>
      <c r="L6">
        <v>1</v>
      </c>
      <c r="M6">
        <v>1000</v>
      </c>
      <c r="N6">
        <f>1/L8</f>
        <v>0.55555555555555558</v>
      </c>
    </row>
    <row r="7" spans="1:14" x14ac:dyDescent="0.4">
      <c r="J7" t="s">
        <v>11</v>
      </c>
      <c r="K7">
        <v>2E-3</v>
      </c>
      <c r="L7">
        <v>1E-3</v>
      </c>
      <c r="M7">
        <v>1</v>
      </c>
      <c r="N7">
        <f>1/M8</f>
        <v>5.5555555555555556E-4</v>
      </c>
    </row>
    <row r="8" spans="1:14" x14ac:dyDescent="0.4">
      <c r="J8" t="s">
        <v>15</v>
      </c>
      <c r="K8">
        <v>3.6</v>
      </c>
      <c r="L8">
        <v>1.8</v>
      </c>
      <c r="M8">
        <v>1800</v>
      </c>
      <c r="N8">
        <v>1</v>
      </c>
    </row>
    <row r="13" spans="1:14" x14ac:dyDescent="0.4">
      <c r="C13" s="3" t="s">
        <v>3</v>
      </c>
    </row>
    <row r="14" spans="1:14" x14ac:dyDescent="0.4">
      <c r="A14" s="1" t="s">
        <v>13</v>
      </c>
      <c r="C14" s="3" t="s">
        <v>12</v>
      </c>
    </row>
    <row r="15" spans="1:14" x14ac:dyDescent="0.4">
      <c r="A15" s="1" t="s">
        <v>17</v>
      </c>
      <c r="C15" s="3" t="s">
        <v>16</v>
      </c>
    </row>
    <row r="16" spans="1:14" x14ac:dyDescent="0.4">
      <c r="A16" s="1" t="s">
        <v>4</v>
      </c>
    </row>
    <row r="17" spans="1:1" x14ac:dyDescent="0.4">
      <c r="A17" s="2" t="s">
        <v>8</v>
      </c>
    </row>
    <row r="18" spans="1:1" x14ac:dyDescent="0.4">
      <c r="A18" s="2" t="s">
        <v>9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最终简洁</vt:lpstr>
      <vt:lpstr>步骤一-活动商店汇率</vt:lpstr>
      <vt:lpstr>步骤二-各个活动直接掉率</vt:lpstr>
      <vt:lpstr>废案-结界卡标准换算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胡佳旭</dc:creator>
  <cp:lastModifiedBy>佳旭 胡</cp:lastModifiedBy>
  <dcterms:created xsi:type="dcterms:W3CDTF">2015-06-05T18:19:34Z</dcterms:created>
  <dcterms:modified xsi:type="dcterms:W3CDTF">2026-03-06T12:50:26Z</dcterms:modified>
</cp:coreProperties>
</file>